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1"/>
  </bookViews>
  <sheets>
    <sheet name="!!!!Инструкция!!!!" sheetId="7" r:id="rId1"/>
    <sheet name="юноши 5-6" sheetId="5" r:id="rId2"/>
    <sheet name="девушки 5-6" sheetId="6" r:id="rId3"/>
    <sheet name="юноши-7-8" sheetId="1" r:id="rId4"/>
    <sheet name="девушки 7-8" sheetId="3" r:id="rId5"/>
  </sheets>
  <calcPr calcId="162913"/>
</workbook>
</file>

<file path=xl/calcChain.xml><?xml version="1.0" encoding="utf-8"?>
<calcChain xmlns="http://schemas.openxmlformats.org/spreadsheetml/2006/main">
  <c r="G3" i="3" l="1"/>
  <c r="G3" i="1"/>
  <c r="G3" i="6"/>
  <c r="G3" i="5"/>
  <c r="I3" i="3" l="1"/>
  <c r="J6" i="3" s="1"/>
  <c r="K3" i="3"/>
  <c r="L6" i="3" s="1"/>
  <c r="M3" i="3"/>
  <c r="F6" i="3"/>
  <c r="H6" i="3"/>
  <c r="N6" i="3"/>
  <c r="H6" i="1"/>
  <c r="F6" i="1"/>
  <c r="M3" i="1"/>
  <c r="N6" i="1" s="1"/>
  <c r="K3" i="1"/>
  <c r="L6" i="1" s="1"/>
  <c r="I3" i="1"/>
  <c r="J6" i="1" s="1"/>
  <c r="H7" i="6"/>
  <c r="F7" i="6"/>
  <c r="H6" i="6"/>
  <c r="F6" i="6"/>
  <c r="M3" i="6"/>
  <c r="N6" i="6" s="1"/>
  <c r="K3" i="6"/>
  <c r="L6" i="6" s="1"/>
  <c r="I3" i="6"/>
  <c r="J7" i="6" s="1"/>
  <c r="H6" i="5"/>
  <c r="F6" i="5"/>
  <c r="N7" i="6" l="1"/>
  <c r="O6" i="1"/>
  <c r="O6" i="3"/>
  <c r="L7" i="6"/>
  <c r="O6" i="6"/>
  <c r="J6" i="6"/>
  <c r="O3" i="3"/>
  <c r="P6" i="3" s="1"/>
  <c r="O3" i="1"/>
  <c r="P6" i="1" s="1"/>
  <c r="M3" i="5"/>
  <c r="K3" i="5"/>
  <c r="I3" i="5"/>
  <c r="O7" i="6" l="1"/>
  <c r="P7" i="6" s="1"/>
  <c r="L6" i="5"/>
  <c r="N6" i="5"/>
  <c r="J6" i="5"/>
  <c r="O3" i="6" l="1"/>
  <c r="P6" i="6" s="1"/>
  <c r="O6" i="5"/>
  <c r="O3" i="5" l="1"/>
  <c r="P6" i="5" l="1"/>
</calcChain>
</file>

<file path=xl/sharedStrings.xml><?xml version="1.0" encoding="utf-8"?>
<sst xmlns="http://schemas.openxmlformats.org/spreadsheetml/2006/main" count="148" uniqueCount="59">
  <si>
    <t>Образовательная организация</t>
  </si>
  <si>
    <t>Класс</t>
  </si>
  <si>
    <t>№ п/п</t>
  </si>
  <si>
    <t>ФИО участника олимпиады</t>
  </si>
  <si>
    <t>результат</t>
  </si>
  <si>
    <t>зачетный балл</t>
  </si>
  <si>
    <t>7-8 классы</t>
  </si>
  <si>
    <t>5-6 классы</t>
  </si>
  <si>
    <t>Практические испытания (2 тур)</t>
  </si>
  <si>
    <t>Теоретико-методическое испытание (1 тур)</t>
  </si>
  <si>
    <t>юноши</t>
  </si>
  <si>
    <t>Итого</t>
  </si>
  <si>
    <t>Статус</t>
  </si>
  <si>
    <t>Прикладная физическая культура</t>
  </si>
  <si>
    <t>девушки</t>
  </si>
  <si>
    <r>
      <t>результат</t>
    </r>
    <r>
      <rPr>
        <sz val="12"/>
        <color theme="0"/>
        <rFont val="Times New Roman"/>
        <family val="1"/>
        <charset val="204"/>
      </rPr>
      <t>2</t>
    </r>
  </si>
  <si>
    <r>
      <t>зачетный балл</t>
    </r>
    <r>
      <rPr>
        <sz val="12"/>
        <color theme="0"/>
        <rFont val="Times New Roman"/>
        <family val="1"/>
        <charset val="204"/>
      </rPr>
      <t>3</t>
    </r>
  </si>
  <si>
    <r>
      <t>результат (сек)</t>
    </r>
    <r>
      <rPr>
        <sz val="12"/>
        <color theme="0"/>
        <rFont val="Times New Roman"/>
        <family val="1"/>
        <charset val="204"/>
      </rPr>
      <t>5</t>
    </r>
  </si>
  <si>
    <r>
      <t>зачетный балл</t>
    </r>
    <r>
      <rPr>
        <sz val="12"/>
        <color theme="0"/>
        <rFont val="Times New Roman"/>
        <family val="1"/>
        <charset val="204"/>
      </rPr>
      <t>6</t>
    </r>
  </si>
  <si>
    <r>
      <t>результат (сек)</t>
    </r>
    <r>
      <rPr>
        <sz val="12"/>
        <color theme="0"/>
        <rFont val="Times New Roman"/>
        <family val="1"/>
        <charset val="204"/>
      </rPr>
      <t>7</t>
    </r>
  </si>
  <si>
    <r>
      <t>зачетный балл</t>
    </r>
    <r>
      <rPr>
        <sz val="12"/>
        <color theme="0"/>
        <rFont val="Times New Roman"/>
        <family val="1"/>
        <charset val="204"/>
      </rPr>
      <t>8</t>
    </r>
  </si>
  <si>
    <r>
      <t>зачетный балл</t>
    </r>
    <r>
      <rPr>
        <sz val="12"/>
        <color theme="0"/>
        <rFont val="Times New Roman"/>
        <family val="1"/>
        <charset val="204"/>
      </rPr>
      <t>9</t>
    </r>
  </si>
  <si>
    <t>Спортивные игры</t>
  </si>
  <si>
    <t>Легкая атлетика</t>
  </si>
  <si>
    <t>Гимнастика</t>
  </si>
  <si>
    <r>
      <t>результат</t>
    </r>
    <r>
      <rPr>
        <sz val="12"/>
        <color theme="0"/>
        <rFont val="Times New Roman"/>
        <family val="1"/>
        <charset val="204"/>
      </rPr>
      <t xml:space="preserve">3 </t>
    </r>
    <r>
      <rPr>
        <sz val="12"/>
        <color theme="1"/>
        <rFont val="Times New Roman"/>
        <family val="1"/>
        <charset val="204"/>
      </rPr>
      <t>(сек)</t>
    </r>
  </si>
  <si>
    <r>
      <t>зачетный балл</t>
    </r>
    <r>
      <rPr>
        <sz val="12"/>
        <color theme="0"/>
        <rFont val="Times New Roman"/>
        <family val="1"/>
        <charset val="204"/>
      </rPr>
      <t>72</t>
    </r>
  </si>
  <si>
    <t>29-30 октября 2020 г.</t>
  </si>
  <si>
    <t>мальчики</t>
  </si>
  <si>
    <t>девочки</t>
  </si>
  <si>
    <t>Сводный протокол
школьного этапа Всероссийской олимпиады школьников по физической культуре 2020-21 уч.год
Амурский муниципальный район</t>
  </si>
  <si>
    <r>
      <rPr>
        <b/>
        <u/>
        <sz val="26"/>
        <color rgb="FFFF0000"/>
        <rFont val="Times New Roman"/>
        <family val="1"/>
        <charset val="204"/>
      </rPr>
      <t>Уважаемые коллеги!</t>
    </r>
    <r>
      <rPr>
        <b/>
        <sz val="26"/>
        <color rgb="FFFF0000"/>
        <rFont val="Times New Roman"/>
        <family val="1"/>
        <charset val="204"/>
      </rPr>
      <t xml:space="preserve">
Внимательно прочитайте инструкции по заполнению протоколов! </t>
    </r>
  </si>
  <si>
    <t>Всю информацию необходимо заносить только в ячейки белого цвета.
В ячейках серого света КАТЕГОРИЧЕСКИ запрещается что-либо вносить, изменять  и удалять информацию или формулы.</t>
  </si>
  <si>
    <t>Вначале занесите ФИО участников, класс и ОУ</t>
  </si>
  <si>
    <t>Если участник не прошел вид испытания, то в поле результат пишем: неявка, сошел, снят врачом и т.д.</t>
  </si>
  <si>
    <t>Примечание</t>
  </si>
  <si>
    <t>Итоговый зачетный балл появится только после внесения результатов по пяти видам (1 -теор., 4 - практ)</t>
  </si>
  <si>
    <t>Участник не прошедший 1 вид испытаний исключается из итогового ранжирования зачетных баллов, но сохраняет статус участника</t>
  </si>
  <si>
    <t>Участник не прошедший 2 вида испытаний и более теряет статус участника</t>
  </si>
  <si>
    <t>Статус Победитель, Призер, Участник появится автоматически, в зависимости от набранных зачетных баллов и количества участников.</t>
  </si>
  <si>
    <t>Чтобы правильно оформить таблицу, согласно требованиям необходимо:</t>
  </si>
  <si>
    <t>а) Вначале отсортировать Столбец ФИО по алфавиту, используя кнопку автофильтра в заголовке столбца</t>
  </si>
  <si>
    <t>б) затем отсортировать столбец Итоговых зачетных баллов по убыванию, используя кнопку автофильтра в заголовке столбца</t>
  </si>
  <si>
    <t>При добавлении ФИО в ячейку строки, следующей сразу после таблицы, таблица увеличивается автоматически. Также можно увеличить таблицу с помощью маркера, расположенного в правом нижнем углу таблицы  (при наведении курсора мыши на маркер, изображение курсора меняется на двунаправленную стрелку)
При необходимости удалите пустые строки в таблице</t>
  </si>
  <si>
    <t>Не забудьте после таблицы вставить поле для подписи членов жюри.</t>
  </si>
  <si>
    <t>В поле зачетный балл появится соответствующее значение автоматически, вычисленное по формуле.</t>
  </si>
  <si>
    <t>При равенстве итоговых зачетных баллов у участников, они должны располагаться по алфавиту</t>
  </si>
  <si>
    <t xml:space="preserve">После сортировок, пронумеруйте участников в таблице </t>
  </si>
  <si>
    <r>
      <t xml:space="preserve">После оформления всех сводных протоколов, отправьте их на проверку (файл Excel) по электронной почте на адрес </t>
    </r>
    <r>
      <rPr>
        <b/>
        <u/>
        <sz val="24"/>
        <color rgb="FF0070C0"/>
        <rFont val="Times New Roman"/>
        <family val="1"/>
        <charset val="204"/>
      </rPr>
      <t>imc27308@mail.ru</t>
    </r>
    <r>
      <rPr>
        <b/>
        <sz val="24"/>
        <color rgb="FFFF0000"/>
        <rFont val="Times New Roman"/>
        <family val="1"/>
        <charset val="204"/>
      </rPr>
      <t>.
Помните о том, что итоги школьного этапа олимпиады должны появиться на сайте Вашего учреждения не позднее 3 суток после её проведения.</t>
    </r>
  </si>
  <si>
    <t>!</t>
  </si>
  <si>
    <r>
      <t xml:space="preserve">После прохождения вида испытания в поле результат занесите набранные баллы или </t>
    </r>
    <r>
      <rPr>
        <u/>
        <sz val="18"/>
        <color theme="1"/>
        <rFont val="Times New Roman"/>
        <family val="1"/>
        <charset val="204"/>
      </rPr>
      <t>время в секундах.</t>
    </r>
  </si>
  <si>
    <t>Пирков Андрей Николаевич</t>
  </si>
  <si>
    <t>МБОУ СОШ пос. Лесной</t>
  </si>
  <si>
    <t>Курудимова Софья Сергеевна</t>
  </si>
  <si>
    <t>Австрина Вероника Андреевна</t>
  </si>
  <si>
    <t>Диканова Кристина Евгеньевна</t>
  </si>
  <si>
    <t>Толла Никита Максимович</t>
  </si>
  <si>
    <t>Председатель жюри:</t>
  </si>
  <si>
    <t xml:space="preserve">Члены жюри: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</si>
</sst>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b/>
      <u/>
      <sz val="26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24"/>
      <color rgb="FF0070C0"/>
      <name val="Times New Roman"/>
      <family val="1"/>
      <charset val="204"/>
    </font>
    <font>
      <b/>
      <sz val="72"/>
      <color rgb="FFFF0000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2" fontId="7" fillId="3" borderId="1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2" fontId="7" fillId="3" borderId="14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2" fontId="7" fillId="3" borderId="16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left" vertical="top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17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84">
    <dxf>
      <font>
        <b/>
        <i val="0"/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justify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  <alignment textRotation="0" indent="0" justifyLastLine="0" shrinkToFit="0" readingOrder="0"/>
      <border diagonalUp="0" diagonalDown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justify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  <alignment textRotation="0" indent="0" justifyLastLine="0" shrinkToFit="0" readingOrder="0"/>
      <border diagonalUp="0" diagonalDown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justify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  <alignment textRotation="0" indent="0" justifyLastLine="0" shrinkToFit="0" readingOrder="0"/>
      <border diagonalUp="0" diagonalDown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justify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  <alignment textRotation="0" indent="0" justifyLastLine="0" shrinkToFit="0" readingOrder="0"/>
      <border diagonalUp="0" diagonalDown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2647950</xdr:colOff>
      <xdr:row>15</xdr:row>
      <xdr:rowOff>361950</xdr:rowOff>
    </xdr:from>
    <xdr:to>
      <xdr:col>1</xdr:col>
      <xdr:colOff>5981700</xdr:colOff>
      <xdr:row>15</xdr:row>
      <xdr:rowOff>1533525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9296400"/>
          <a:ext cx="3333750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4057650</xdr:colOff>
      <xdr:row>16</xdr:row>
      <xdr:rowOff>523875</xdr:rowOff>
    </xdr:from>
    <xdr:to>
      <xdr:col>1</xdr:col>
      <xdr:colOff>5314950</xdr:colOff>
      <xdr:row>16</xdr:row>
      <xdr:rowOff>1981200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201400"/>
          <a:ext cx="1257300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283655</xdr:colOff>
      <xdr:row>0</xdr:row>
      <xdr:rowOff>52838</xdr:rowOff>
    </xdr:from>
    <xdr:to>
      <xdr:col>1</xdr:col>
      <xdr:colOff>1083755</xdr:colOff>
      <xdr:row>0</xdr:row>
      <xdr:rowOff>807432</xdr:rowOff>
    </xdr:to>
    <xdr:pic>
      <xdr:nvPicPr>
        <xdr:cNvPr id="3" name="Рисунок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226"/>
        <a:stretch/>
      </xdr:blipFill>
      <xdr:spPr bwMode="auto">
        <a:xfrm>
          <a:off x="683705" y="52838"/>
          <a:ext cx="800100" cy="7545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283655</xdr:colOff>
      <xdr:row>0</xdr:row>
      <xdr:rowOff>52838</xdr:rowOff>
    </xdr:from>
    <xdr:to>
      <xdr:col>1</xdr:col>
      <xdr:colOff>1083755</xdr:colOff>
      <xdr:row>1</xdr:row>
      <xdr:rowOff>7332</xdr:rowOff>
    </xdr:to>
    <xdr:pic>
      <xdr:nvPicPr>
        <xdr:cNvPr id="3" name="Рисунок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226"/>
        <a:stretch/>
      </xdr:blipFill>
      <xdr:spPr bwMode="auto">
        <a:xfrm>
          <a:off x="683705" y="52838"/>
          <a:ext cx="800100" cy="7545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245555</xdr:colOff>
      <xdr:row>0</xdr:row>
      <xdr:rowOff>62363</xdr:rowOff>
    </xdr:from>
    <xdr:to>
      <xdr:col>1</xdr:col>
      <xdr:colOff>1045655</xdr:colOff>
      <xdr:row>0</xdr:row>
      <xdr:rowOff>816957</xdr:rowOff>
    </xdr:to>
    <xdr:pic>
      <xdr:nvPicPr>
        <xdr:cNvPr id="3" name="Рисунок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226"/>
        <a:stretch/>
      </xdr:blipFill>
      <xdr:spPr bwMode="auto">
        <a:xfrm>
          <a:off x="643120" y="62363"/>
          <a:ext cx="800100" cy="7545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0</xdr:row>
      <xdr:rowOff>112059</xdr:rowOff>
    </xdr:from>
    <xdr:to>
      <xdr:col>1</xdr:col>
      <xdr:colOff>979394</xdr:colOff>
      <xdr:row>0</xdr:row>
      <xdr:rowOff>867895</xdr:rowOff>
    </xdr:to>
    <xdr:pic>
      <xdr:nvPicPr>
        <xdr:cNvPr id="3" name="Рисунок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226"/>
        <a:stretch/>
      </xdr:blipFill>
      <xdr:spPr bwMode="auto">
        <a:xfrm>
          <a:off x="579344" y="112059"/>
          <a:ext cx="800100" cy="754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5" name="протокол56м" displayName="протокол56м" ref="A5:P6" totalsRowShown="0" headerRowDxfId="83" dataDxfId="81" headerRowBorderDxfId="82" tableBorderDxfId="80" totalsRowBorderDxfId="79">
  <autoFilter ref="A5:P6"/>
  <sortState ref="A5:Q89">
    <sortCondition ref="C4:C89"/>
  </sortState>
  <tableColumns count="16">
    <tableColumn id="1" name="№ п/п" dataDxfId="78"/>
    <tableColumn id="2" name="ФИО участника олимпиады" dataDxfId="77"/>
    <tableColumn id="3" name="Образовательная организация" dataDxfId="76"/>
    <tableColumn id="4" name="Класс" dataDxfId="75"/>
    <tableColumn id="5" name="результат" dataDxfId="74"/>
    <tableColumn id="6" name="зачетный балл" dataDxfId="73">
      <calculatedColumnFormula>IF(OR(ISTEXT(протокол56м[[#This Row],[результат]]),протокол56м[[#This Row],[результат]]=""),"",($F$3*протокол56м[[#This Row],[результат]])/$E$3)</calculatedColumnFormula>
    </tableColumn>
    <tableColumn id="7" name="результат2" dataDxfId="72"/>
    <tableColumn id="9" name="зачетный балл3" dataDxfId="71">
      <calculatedColumnFormula>IF(OR(ISTEXT(протокол56м[[#This Row],[результат2]]),протокол56м[[#This Row],[результат2]]=""),"",($H$3*протокол56м[[#This Row],[результат2]])/$G$3)</calculatedColumnFormula>
    </tableColumn>
    <tableColumn id="13" name="результат (сек)5" dataDxfId="70"/>
    <tableColumn id="15" name="зачетный балл6" dataDxfId="69">
      <calculatedColumnFormula>IF(OR(ISTEXT(протокол56м[[#This Row],[результат (сек)5]]),протокол56м[[#This Row],[результат (сек)5]]=""),"",($J$3*$I$3)/протокол56м[[#This Row],[результат (сек)5]])</calculatedColumnFormula>
    </tableColumn>
    <tableColumn id="8" name="результат3 (сек)" dataDxfId="68"/>
    <tableColumn id="11" name="зачетный балл72" dataDxfId="67">
      <calculatedColumnFormula>IF(OR(ISTEXT(протокол56м[[#This Row],[результат3 (сек)]]),протокол56м[[#This Row],[результат3 (сек)]]=""),"",($L$3*$K$3)/протокол56м[[#This Row],[результат3 (сек)]])</calculatedColumnFormula>
    </tableColumn>
    <tableColumn id="16" name="результат (сек)7" dataDxfId="66"/>
    <tableColumn id="18" name="зачетный балл8" dataDxfId="65">
      <calculatedColumnFormula>IF(OR(ISTEXT(протокол56м[[#This Row],[результат (сек)7]]),протокол56м[[#This Row],[результат (сек)7]]=""),"",($N$3*$M$3)/протокол56м[[#This Row],[результат (сек)7]])</calculatedColumnFormula>
    </tableColumn>
    <tableColumn id="19" name="зачетный балл9" dataDxfId="64">
      <calculatedColumnFormula>IF(COUNT(протокол56м[[#This Row],[результат]],протокол56м[[#This Row],[результат2]],протокол56м[[#This Row],[результат (сек)5]],протокол56м[[#This Row],[результат3 (сек)]],протокол56м[[#This Row],[результат (сек)7]])=4,0,IF(COUNT(протокол56м[[#This Row],[результат]],протокол56м[[#This Row],[результат2]],протокол56м[[#This Row],[результат (сек)5]],протокол56м[[#This Row],[результат3 (сек)]],протокол56м[[#This Row],[результат (сек)7]])&lt;4,"",SUM(протокол56м[[#This Row],[зачетный балл]],протокол56м[[#This Row],[зачетный балл3]],протокол56м[[#This Row],[зачетный балл6]],протокол56м[[#This Row],[зачетный балл72]],протокол56м[[#This Row],[зачетный балл8]])))</calculatedColumnFormula>
    </tableColumn>
    <tableColumn id="10" name="Статус" dataDxfId="63">
      <calculatedColumnFormula>IF(протокол56м[[#This Row],[зачетный балл9]]="","",IF(протокол56м[[#This Row],[зачетный балл9]]&lt;=50,"Участник",IF(протокол56м[[#This Row],[зачетный балл9]]=$O$3,"Победитель",IF(COUNTIF(протокол56м[зачетный балл9],"&gt;="&amp;"0")/4&gt;=COUNTIF(протокол56м[зачетный балл9],"&gt;="&amp;протокол56м[[#This Row],[зачетный балл9]]),"Призер","Участник"))))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1" name="протокол56д" displayName="протокол56д" ref="A5:P7" totalsRowShown="0" headerRowDxfId="62" dataDxfId="60" headerRowBorderDxfId="61" tableBorderDxfId="59" totalsRowBorderDxfId="58">
  <autoFilter ref="A5:P7"/>
  <sortState ref="A7:Q91">
    <sortCondition ref="C4:C89"/>
  </sortState>
  <tableColumns count="16">
    <tableColumn id="1" name="№ п/п" dataDxfId="57"/>
    <tableColumn id="2" name="ФИО участника олимпиады" dataDxfId="56"/>
    <tableColumn id="3" name="Образовательная организация" dataDxfId="55"/>
    <tableColumn id="4" name="Класс" dataDxfId="54"/>
    <tableColumn id="5" name="результат" dataDxfId="53"/>
    <tableColumn id="6" name="зачетный балл" dataDxfId="52">
      <calculatedColumnFormula>IF(OR(ISTEXT(протокол56д[[#This Row],[результат]]),протокол56д[[#This Row],[результат]]=""),"",($F$3*протокол56д[[#This Row],[результат]])/$E$3)</calculatedColumnFormula>
    </tableColumn>
    <tableColumn id="7" name="результат2" dataDxfId="51"/>
    <tableColumn id="9" name="зачетный балл3" dataDxfId="50">
      <calculatedColumnFormula>IF(OR(ISTEXT(протокол56д[[#This Row],[результат2]]),протокол56д[[#This Row],[результат2]]=""),"",($H$3*протокол56д[[#This Row],[результат2]])/$G$3)</calculatedColumnFormula>
    </tableColumn>
    <tableColumn id="13" name="результат (сек)5" dataDxfId="49"/>
    <tableColumn id="15" name="зачетный балл6" dataDxfId="48">
      <calculatedColumnFormula>IF(OR(ISTEXT(протокол56д[[#This Row],[результат (сек)5]]),протокол56д[[#This Row],[результат (сек)5]]=""),"",($J$3*$I$3)/протокол56д[[#This Row],[результат (сек)5]])</calculatedColumnFormula>
    </tableColumn>
    <tableColumn id="8" name="результат3 (сек)" dataDxfId="47"/>
    <tableColumn id="11" name="зачетный балл72" dataDxfId="46">
      <calculatedColumnFormula>IF(OR(ISTEXT(протокол56д[[#This Row],[результат3 (сек)]]),протокол56д[[#This Row],[результат3 (сек)]]=""),"",($L$3*$K$3)/протокол56д[[#This Row],[результат3 (сек)]])</calculatedColumnFormula>
    </tableColumn>
    <tableColumn id="16" name="результат (сек)7" dataDxfId="45"/>
    <tableColumn id="18" name="зачетный балл8" dataDxfId="44">
      <calculatedColumnFormula>IF(OR(ISTEXT(протокол56д[[#This Row],[результат (сек)7]]),протокол56д[[#This Row],[результат (сек)7]]=""),"",($N$3*$M$3)/протокол56д[[#This Row],[результат (сек)7]])</calculatedColumnFormula>
    </tableColumn>
    <tableColumn id="19" name="зачетный балл9" dataDxfId="43">
      <calculatedColumnFormula>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(сек)7]])=4,0,IF(COUNT(протокол56д[[#This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(сек)7]])&lt;4,"",SUM(протокол56д[[#This Row],[зачетный балл]],протокол56д[[#This Row],[зачетный балл3]],протокол56д[[#This Row],[зачетный балл6]],протокол56д[[#This Row],[зачетный балл72]],протокол56д[[#This Row],[зачетный балл8]])))</calculatedColumnFormula>
    </tableColumn>
    <tableColumn id="10" name="Статус" dataDxfId="42">
      <calculatedColumnFormula>IF(протокол56д[[#This Row],[зачетный балл9]]="","",IF(протокол56д[[#This Row],[зачетный балл9]]&lt;=50,"Участник",IF(протокол56д[[#This Row],[зачетный балл9]]=$O$3,"Победитель",IF(COUNTIF(протокол56д[зачетный балл9],"&gt;="&amp;"0")/4&gt;=COUNTIF(протокол56д[зачетный балл9],"&gt;="&amp;протокол56д[[#This Row],[зачетный балл9]]),"Призер","Участник"))))</calculatedColumnFormula>
    </tableColumn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3" name="протокол78ю" displayName="протокол78ю" ref="A5:P6" totalsRowShown="0" headerRowDxfId="41" dataDxfId="39" headerRowBorderDxfId="40" tableBorderDxfId="38" totalsRowBorderDxfId="37">
  <autoFilter ref="A5:P6"/>
  <sortState ref="A7:Q91">
    <sortCondition ref="C4:C89"/>
  </sortState>
  <tableColumns count="16">
    <tableColumn id="1" name="№ п/п" dataDxfId="36"/>
    <tableColumn id="2" name="ФИО участника олимпиады" dataDxfId="35"/>
    <tableColumn id="3" name="Образовательная организация" dataDxfId="34"/>
    <tableColumn id="4" name="Класс" dataDxfId="33"/>
    <tableColumn id="5" name="результат" dataDxfId="32"/>
    <tableColumn id="6" name="зачетный балл" dataDxfId="31">
      <calculatedColumnFormula>IF(OR(ISTEXT(протокол78ю[[#This Row],[результат]]),протокол78ю[[#This Row],[результат]]=""),"",($F$3*протокол78ю[[#This Row],[результат]])/$E$3)</calculatedColumnFormula>
    </tableColumn>
    <tableColumn id="7" name="результат2" dataDxfId="30"/>
    <tableColumn id="9" name="зачетный балл3" dataDxfId="29">
      <calculatedColumnFormula>IF(OR(ISTEXT(протокол78ю[[#This Row],[результат2]]),протокол78ю[[#This Row],[результат2]]=""),"",($H$3*протокол78ю[[#This Row],[результат2]])/$G$3)</calculatedColumnFormula>
    </tableColumn>
    <tableColumn id="13" name="результат (сек)5" dataDxfId="28"/>
    <tableColumn id="15" name="зачетный балл6" dataDxfId="27">
      <calculatedColumnFormula>IF(OR(ISTEXT(протокол78ю[[#This Row],[результат (сек)5]]),протокол78ю[[#This Row],[результат (сек)5]]=""),"",($J$3*$I$3)/протокол78ю[[#This Row],[результат (сек)5]])</calculatedColumnFormula>
    </tableColumn>
    <tableColumn id="8" name="результат3 (сек)" dataDxfId="26"/>
    <tableColumn id="11" name="зачетный балл72" dataDxfId="25">
      <calculatedColumnFormula>IF(OR(ISTEXT(протокол78ю[[#This Row],[результат3 (сек)]]),протокол78ю[[#This Row],[результат3 (сек)]]=""),"",($L$3*$K$3)/протокол78ю[[#This Row],[результат3 (сек)]])</calculatedColumnFormula>
    </tableColumn>
    <tableColumn id="16" name="результат (сек)7" dataDxfId="24"/>
    <tableColumn id="18" name="зачетный балл8" dataDxfId="23">
      <calculatedColumnFormula>IF(OR(ISTEXT(протокол78ю[[#This Row],[результат (сек)7]]),протокол78ю[[#This Row],[результат (сек)7]]=""),"",($N$3*$M$3)/протокол78ю[[#This Row],[результат (сек)7]])</calculatedColumnFormula>
    </tableColumn>
    <tableColumn id="19" name="зачетный балл9" dataDxfId="22">
      <calculatedColumnFormula>IF(COUNT(протокол78ю[[#This Row],[результат]],протокол78ю[[#This Row],[результат2]],протокол78ю[[#This Row],[результат (сек)5]],протокол78ю[[#This Row],[результат3 (сек)]],протокол78ю[[#This Row],[результат (сек)7]])=4,0,IF(COUNT(протокол78ю[[#This Row],[результат]],протокол78ю[[#This Row],[результат2]],протокол78ю[[#This Row],[результат (сек)5]],протокол78ю[[#This Row],[результат3 (сек)]],протокол78ю[[#This Row],[результат (сек)7]])&lt;4,"",SUM(протокол78ю[[#This Row],[зачетный балл]],протокол78ю[[#This Row],[зачетный балл3]],протокол78ю[[#This Row],[зачетный балл6]],протокол78ю[[#This Row],[зачетный балл72]],протокол78ю[[#This Row],[зачетный балл8]])))</calculatedColumnFormula>
    </tableColumn>
    <tableColumn id="10" name="Статус" dataDxfId="21">
      <calculatedColumnFormula>IF(протокол78ю[[#This Row],[зачетный балл9]]="","",IF(протокол78ю[[#This Row],[зачетный балл9]]&lt;=50,"Участник",IF(протокол78ю[[#This Row],[зачетный балл9]]=$O$3,"Победитель",IF(COUNTIF(протокол78ю[зачетный балл9],"&gt;="&amp;"0")/4&gt;=COUNTIF(протокол78ю[зачетный балл9],"&gt;="&amp;протокол78ю[[#This Row],[зачетный балл9]]),"Призер","Участник"))))</calculatedColumnFormula>
    </tableColumn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id="4" name="протокол78д" displayName="протокол78д" ref="A5:P6" totalsRowShown="0" headerRowDxfId="20" dataDxfId="18" headerRowBorderDxfId="19" tableBorderDxfId="17" totalsRowBorderDxfId="16">
  <autoFilter ref="A5:P6"/>
  <sortState ref="A7:Q91">
    <sortCondition ref="C4:C89"/>
  </sortState>
  <tableColumns count="16">
    <tableColumn id="1" name="№ п/п" dataDxfId="15"/>
    <tableColumn id="2" name="ФИО участника олимпиады" dataDxfId="14"/>
    <tableColumn id="3" name="Образовательная организация" dataDxfId="13"/>
    <tableColumn id="4" name="Класс" dataDxfId="12"/>
    <tableColumn id="5" name="результат" dataDxfId="11"/>
    <tableColumn id="6" name="зачетный балл" dataDxfId="10">
      <calculatedColumnFormula>IF(OR(ISTEXT(протокол78д[[#This Row],[результат]]),протокол78д[[#This Row],[результат]]=""),"",($F$3*протокол78д[[#This Row],[результат]])/$E$3)</calculatedColumnFormula>
    </tableColumn>
    <tableColumn id="7" name="результат2" dataDxfId="9"/>
    <tableColumn id="9" name="зачетный балл3" dataDxfId="8">
      <calculatedColumnFormula>IF(OR(ISTEXT(протокол78д[[#This Row],[результат2]]),протокол78д[[#This Row],[результат2]]=""),"",($H$3*протокол78д[[#This Row],[результат2]])/$G$3)</calculatedColumnFormula>
    </tableColumn>
    <tableColumn id="13" name="результат (сек)5" dataDxfId="7"/>
    <tableColumn id="15" name="зачетный балл6" dataDxfId="6">
      <calculatedColumnFormula>IF(OR(ISTEXT(протокол78д[[#This Row],[результат (сек)5]]),протокол78д[[#This Row],[результат (сек)5]]=""),"",($J$3*$I$3)/протокол78д[[#This Row],[результат (сек)5]])</calculatedColumnFormula>
    </tableColumn>
    <tableColumn id="8" name="результат3 (сек)" dataDxfId="5"/>
    <tableColumn id="11" name="зачетный балл72" dataDxfId="4">
      <calculatedColumnFormula>IF(OR(ISTEXT(протокол78д[[#This Row],[результат3 (сек)]]),протокол78д[[#This Row],[результат3 (сек)]]=""),"",($L$3*$K$3)/протокол78д[[#This Row],[результат3 (сек)]])</calculatedColumnFormula>
    </tableColumn>
    <tableColumn id="16" name="результат (сек)7" dataDxfId="3"/>
    <tableColumn id="18" name="зачетный балл8" dataDxfId="2">
      <calculatedColumnFormula>IF(OR(ISTEXT(протокол78д[[#This Row],[результат (сек)7]]),протокол78д[[#This Row],[результат (сек)7]]=""),"",($N$3*$M$3)/протокол78д[[#This Row],[результат (сек)7]])</calculatedColumnFormula>
    </tableColumn>
    <tableColumn id="19" name="зачетный балл9" dataDxfId="1">
      <calculatedColumnFormula>IF(COUNT(протокол78д[[#This Row],[результат]],протокол78д[[#This Row],[результат2]],протокол78д[[#This Row],[результат (сек)5]],протокол78д[[#This Row],[результат3 (сек)]],протокол78д[[#This Row],[результат (сек)7]])=4,0,IF(COUNT(протокол78д[[#This Row],[результат]],протокол78д[[#This Row],[результат2]],протокол78д[[#This Row],[результат (сек)5]],протокол78д[[#This Row],[результат3 (сек)]],протокол78д[[#This Row],[результат (сек)7]])&lt;4,"",SUM(протокол78д[[#This Row],[зачетный балл]],протокол78д[[#This Row],[зачетный балл3]],протокол78д[[#This Row],[зачетный балл6]],протокол78д[[#This Row],[зачетный балл72]],протокол78д[[#This Row],[зачетный балл8]])))</calculatedColumnFormula>
    </tableColumn>
    <tableColumn id="10" name="Статус" dataDxfId="0">
      <calculatedColumnFormula>IF(протокол78д[[#This Row],[зачетный балл9]]="","",IF(протокол78д[[#This Row],[зачетный балл9]]&lt;=50,"Участник",IF(протокол78д[[#This Row],[зачетный балл9]]=$O$3,"Победитель",IF(COUNTIF(протокол78д[зачетный балл9],"&gt;="&amp;"0")/4&gt;=COUNTIF(протокол78д[зачетный балл9],"&gt;="&amp;протокол78д[[#This Row],[зачетный балл9]]),"Призер","Участник"))))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"/>
  <sheetViews>
    <sheetView view="pageLayout" topLeftCell="B19" zoomScale="130" zoomScaleNormal="130" zoomScalePageLayoutView="130" workbookViewId="0">
      <selection activeCell="B25" sqref="B25"/>
    </sheetView>
  </sheetViews>
  <sheetFormatPr defaultRowHeight="15" x14ac:dyDescent="0.25"/>
  <cols>
    <col min="1" max="1" width="11.140625" style="9" customWidth="1"/>
    <col min="2" max="2" width="153" customWidth="1"/>
  </cols>
  <sheetData>
    <row r="2" spans="1:2" ht="87.75" customHeight="1" x14ac:dyDescent="0.25">
      <c r="A2" s="35" t="s">
        <v>49</v>
      </c>
      <c r="B2" s="28" t="s">
        <v>31</v>
      </c>
    </row>
    <row r="4" spans="1:2" ht="67.5" x14ac:dyDescent="0.25">
      <c r="A4" s="30"/>
      <c r="B4" s="31" t="s">
        <v>32</v>
      </c>
    </row>
    <row r="5" spans="1:2" ht="23.25" x14ac:dyDescent="0.25">
      <c r="A5" s="30"/>
      <c r="B5" s="32"/>
    </row>
    <row r="6" spans="1:2" ht="23.25" x14ac:dyDescent="0.25">
      <c r="A6" s="30">
        <v>1</v>
      </c>
      <c r="B6" s="33" t="s">
        <v>33</v>
      </c>
    </row>
    <row r="7" spans="1:2" ht="116.25" x14ac:dyDescent="0.25">
      <c r="A7" s="30"/>
      <c r="B7" s="33" t="s">
        <v>43</v>
      </c>
    </row>
    <row r="8" spans="1:2" ht="46.5" x14ac:dyDescent="0.25">
      <c r="A8" s="30">
        <v>2</v>
      </c>
      <c r="B8" s="33" t="s">
        <v>50</v>
      </c>
    </row>
    <row r="9" spans="1:2" ht="46.5" x14ac:dyDescent="0.25">
      <c r="A9" s="30"/>
      <c r="B9" s="33" t="s">
        <v>45</v>
      </c>
    </row>
    <row r="10" spans="1:2" ht="46.5" x14ac:dyDescent="0.25">
      <c r="A10" s="30"/>
      <c r="B10" s="33" t="s">
        <v>34</v>
      </c>
    </row>
    <row r="11" spans="1:2" ht="46.5" x14ac:dyDescent="0.25">
      <c r="A11" s="30" t="s">
        <v>35</v>
      </c>
      <c r="B11" s="33" t="s">
        <v>36</v>
      </c>
    </row>
    <row r="12" spans="1:2" ht="46.5" x14ac:dyDescent="0.25">
      <c r="A12" s="30"/>
      <c r="B12" s="33" t="s">
        <v>37</v>
      </c>
    </row>
    <row r="13" spans="1:2" ht="23.25" x14ac:dyDescent="0.25">
      <c r="A13" s="30"/>
      <c r="B13" s="33" t="s">
        <v>38</v>
      </c>
    </row>
    <row r="14" spans="1:2" ht="46.5" x14ac:dyDescent="0.25">
      <c r="A14" s="30"/>
      <c r="B14" s="33" t="s">
        <v>39</v>
      </c>
    </row>
    <row r="15" spans="1:2" ht="23.25" x14ac:dyDescent="0.25">
      <c r="A15" s="30">
        <v>3</v>
      </c>
      <c r="B15" s="33" t="s">
        <v>40</v>
      </c>
    </row>
    <row r="16" spans="1:2" ht="137.25" customHeight="1" x14ac:dyDescent="0.25">
      <c r="A16" s="30"/>
      <c r="B16" s="32" t="s">
        <v>41</v>
      </c>
    </row>
    <row r="17" spans="1:2" ht="163.5" customHeight="1" x14ac:dyDescent="0.25">
      <c r="A17" s="30"/>
      <c r="B17" s="32" t="s">
        <v>42</v>
      </c>
    </row>
    <row r="18" spans="1:2" ht="46.5" customHeight="1" x14ac:dyDescent="0.25">
      <c r="A18" s="30" t="s">
        <v>35</v>
      </c>
      <c r="B18" s="33" t="s">
        <v>46</v>
      </c>
    </row>
    <row r="19" spans="1:2" ht="23.25" x14ac:dyDescent="0.25">
      <c r="A19" s="30">
        <v>4</v>
      </c>
      <c r="B19" s="33" t="s">
        <v>47</v>
      </c>
    </row>
    <row r="20" spans="1:2" ht="23.25" x14ac:dyDescent="0.25">
      <c r="A20" s="29">
        <v>5</v>
      </c>
      <c r="B20" s="33" t="s">
        <v>44</v>
      </c>
    </row>
    <row r="21" spans="1:2" ht="150" x14ac:dyDescent="0.25">
      <c r="A21" s="35" t="s">
        <v>49</v>
      </c>
      <c r="B21" s="34" t="s">
        <v>48</v>
      </c>
    </row>
  </sheetData>
  <pageMargins left="0.203125" right="0.16145833333333334" top="0.20312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view="pageLayout" zoomScaleNormal="100" workbookViewId="0">
      <selection activeCell="A3" sqref="A3:XFD3"/>
    </sheetView>
  </sheetViews>
  <sheetFormatPr defaultRowHeight="15" x14ac:dyDescent="0.25"/>
  <cols>
    <col min="1" max="1" width="6" customWidth="1"/>
    <col min="2" max="2" width="45.140625" customWidth="1"/>
    <col min="3" max="3" width="20.85546875" customWidth="1"/>
    <col min="4" max="4" width="7.85546875" style="5" customWidth="1"/>
    <col min="5" max="5" width="12.7109375" style="5" customWidth="1"/>
    <col min="6" max="6" width="11.28515625" style="5" customWidth="1"/>
    <col min="7" max="7" width="13" style="5" customWidth="1"/>
    <col min="8" max="8" width="12" style="5" customWidth="1"/>
    <col min="9" max="9" width="13.7109375" style="5" customWidth="1"/>
    <col min="10" max="10" width="11.42578125" style="5" customWidth="1"/>
    <col min="11" max="11" width="12.42578125" style="8" customWidth="1"/>
    <col min="12" max="12" width="11.42578125" style="8" customWidth="1"/>
    <col min="13" max="13" width="13" style="5" customWidth="1"/>
    <col min="14" max="14" width="13.28515625" style="5" customWidth="1"/>
    <col min="15" max="15" width="14.85546875" style="5" customWidth="1"/>
    <col min="16" max="16" width="17.140625" customWidth="1"/>
  </cols>
  <sheetData>
    <row r="1" spans="1:16" ht="64.5" customHeight="1" x14ac:dyDescent="0.25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6" ht="33.75" customHeight="1" thickBot="1" x14ac:dyDescent="0.3">
      <c r="A2" s="1" t="s">
        <v>7</v>
      </c>
      <c r="C2" s="9" t="s">
        <v>28</v>
      </c>
      <c r="G2" s="42" t="s">
        <v>8</v>
      </c>
      <c r="H2" s="42"/>
      <c r="I2" s="42"/>
      <c r="J2" s="42"/>
      <c r="K2" s="42"/>
      <c r="L2" s="42"/>
      <c r="M2" s="42"/>
      <c r="N2" s="42"/>
    </row>
    <row r="3" spans="1:16" ht="33.75" hidden="1" customHeight="1" thickBot="1" x14ac:dyDescent="0.3">
      <c r="A3" s="1"/>
      <c r="D3" s="8"/>
      <c r="E3" s="8">
        <v>26</v>
      </c>
      <c r="F3" s="8">
        <v>30</v>
      </c>
      <c r="G3" s="10">
        <f>MAX(протокол56м[результат2])</f>
        <v>10</v>
      </c>
      <c r="H3" s="10">
        <v>20</v>
      </c>
      <c r="I3" s="10">
        <f>MIN(протокол56м[результат (сек)5])</f>
        <v>158</v>
      </c>
      <c r="J3" s="10">
        <v>20</v>
      </c>
      <c r="K3" s="25">
        <f>MIN(протокол56м[результат3 (сек)])</f>
        <v>47</v>
      </c>
      <c r="L3" s="26">
        <v>15</v>
      </c>
      <c r="M3" s="10">
        <f>MIN(протокол56м[результат (сек)7])</f>
        <v>89</v>
      </c>
      <c r="N3" s="10">
        <v>15</v>
      </c>
      <c r="O3" s="8">
        <f>MAX(протокол56м[зачетный балл9])</f>
        <v>87.307692307692307</v>
      </c>
    </row>
    <row r="4" spans="1:16" ht="46.5" customHeight="1" thickBot="1" x14ac:dyDescent="0.3">
      <c r="B4" t="s">
        <v>27</v>
      </c>
      <c r="E4" s="39" t="s">
        <v>9</v>
      </c>
      <c r="F4" s="41"/>
      <c r="G4" s="39" t="s">
        <v>24</v>
      </c>
      <c r="H4" s="40"/>
      <c r="I4" s="39" t="s">
        <v>23</v>
      </c>
      <c r="J4" s="40"/>
      <c r="K4" s="43" t="s">
        <v>22</v>
      </c>
      <c r="L4" s="44"/>
      <c r="M4" s="39" t="s">
        <v>13</v>
      </c>
      <c r="N4" s="40"/>
      <c r="O4" s="27" t="s">
        <v>11</v>
      </c>
    </row>
    <row r="5" spans="1:16" ht="63" customHeight="1" x14ac:dyDescent="0.25">
      <c r="A5" s="4" t="s">
        <v>2</v>
      </c>
      <c r="B5" s="3" t="s">
        <v>3</v>
      </c>
      <c r="C5" s="3" t="s">
        <v>0</v>
      </c>
      <c r="D5" s="15" t="s">
        <v>1</v>
      </c>
      <c r="E5" s="11" t="s">
        <v>4</v>
      </c>
      <c r="F5" s="12" t="s">
        <v>5</v>
      </c>
      <c r="G5" s="11" t="s">
        <v>15</v>
      </c>
      <c r="H5" s="12" t="s">
        <v>16</v>
      </c>
      <c r="I5" s="11" t="s">
        <v>17</v>
      </c>
      <c r="J5" s="12" t="s">
        <v>18</v>
      </c>
      <c r="K5" s="11" t="s">
        <v>25</v>
      </c>
      <c r="L5" s="12" t="s">
        <v>26</v>
      </c>
      <c r="M5" s="11" t="s">
        <v>19</v>
      </c>
      <c r="N5" s="12" t="s">
        <v>20</v>
      </c>
      <c r="O5" s="21" t="s">
        <v>21</v>
      </c>
      <c r="P5" s="23" t="s">
        <v>12</v>
      </c>
    </row>
    <row r="6" spans="1:16" ht="31.5" x14ac:dyDescent="0.25">
      <c r="A6" s="2">
        <v>1</v>
      </c>
      <c r="B6" s="7" t="s">
        <v>51</v>
      </c>
      <c r="C6" s="6" t="s">
        <v>52</v>
      </c>
      <c r="D6" s="16">
        <v>6</v>
      </c>
      <c r="E6" s="13">
        <v>15</v>
      </c>
      <c r="F6" s="14">
        <f>IF(OR(ISTEXT(протокол56м[[#This Row],[результат]]),протокол56м[[#This Row],[результат]]=""),"",($F$3*протокол56м[[#This Row],[результат]])/$E$3)</f>
        <v>17.307692307692307</v>
      </c>
      <c r="G6" s="13">
        <v>10</v>
      </c>
      <c r="H6" s="14">
        <f>IF(OR(ISTEXT(протокол56м[[#This Row],[результат2]]),протокол56м[[#This Row],[результат2]]=""),"",($H$3*протокол56м[[#This Row],[результат2]])/$G$3)</f>
        <v>20</v>
      </c>
      <c r="I6" s="18">
        <v>158</v>
      </c>
      <c r="J6" s="19">
        <f>IF(OR(ISTEXT(протокол56м[[#This Row],[результат (сек)5]]),протокол56м[[#This Row],[результат (сек)5]]=""),"",($J$3*$I$3)/протокол56м[[#This Row],[результат (сек)5]])</f>
        <v>20</v>
      </c>
      <c r="K6" s="20">
        <v>47</v>
      </c>
      <c r="L6" s="19">
        <f>IF(OR(ISTEXT(протокол56м[[#This Row],[результат3 (сек)]]),протокол56м[[#This Row],[результат3 (сек)]]=""),"",($L$3*$K$3)/протокол56м[[#This Row],[результат3 (сек)]])</f>
        <v>15</v>
      </c>
      <c r="M6" s="18">
        <v>89</v>
      </c>
      <c r="N6" s="19">
        <f>IF(OR(ISTEXT(протокол56м[[#This Row],[результат (сек)7]]),протокол56м[[#This Row],[результат (сек)7]]=""),"",($N$3*$M$3)/протокол56м[[#This Row],[результат (сек)7]])</f>
        <v>15</v>
      </c>
      <c r="O6" s="22">
        <f>IF(COUNT(протокол56м[[#This Row],[результат]],протокол56м[[#This Row],[результат2]],протокол56м[[#This Row],[результат (сек)5]],протокол56м[[#This Row],[результат3 (сек)]],протокол56м[[#This Row],[результат (сек)7]])=4,0,IF(COUNT(протокол56м[[#This Row],[результат]],протокол56м[[#This Row],[результат2]],протокол56м[[#This Row],[результат (сек)5]],протокол56м[[#This Row],[результат3 (сек)]],протокол56м[[#This Row],[результат (сек)7]])&lt;4,"",SUM(протокол56м[[#This Row],[зачетный балл]],протокол56м[[#This Row],[зачетный балл3]],протокол56м[[#This Row],[зачетный балл6]],протокол56м[[#This Row],[зачетный балл72]],протокол56м[[#This Row],[зачетный балл8]])))</f>
        <v>87.307692307692307</v>
      </c>
      <c r="P6" s="24" t="str">
        <f>IF(протокол56м[[#This Row],[зачетный балл9]]="","",IF(протокол56м[[#This Row],[зачетный балл9]]&lt;=50,"Участник",IF(протокол56м[[#This Row],[зачетный балл9]]=$O$3,"Победитель",IF(COUNTIF(протокол56м[зачетный балл9],"&gt;="&amp;"0")/4&gt;=COUNTIF(протокол56м[зачетный балл9],"&gt;="&amp;протокол56м[[#This Row],[зачетный балл9]]),"Призер","Участник"))))</f>
        <v>Победитель</v>
      </c>
    </row>
    <row r="11" spans="1:16" x14ac:dyDescent="0.25">
      <c r="C11" t="s">
        <v>57</v>
      </c>
    </row>
    <row r="12" spans="1:16" x14ac:dyDescent="0.25">
      <c r="C12" t="s">
        <v>58</v>
      </c>
    </row>
  </sheetData>
  <mergeCells count="7">
    <mergeCell ref="A1:O1"/>
    <mergeCell ref="G4:H4"/>
    <mergeCell ref="I4:J4"/>
    <mergeCell ref="M4:N4"/>
    <mergeCell ref="E4:F4"/>
    <mergeCell ref="G2:N2"/>
    <mergeCell ref="K4:L4"/>
  </mergeCells>
  <pageMargins left="0.33333333333333331" right="0.24107142857142858" top="0.5267857142857143" bottom="0.75" header="0.3" footer="0.3"/>
  <pageSetup paperSize="9" scale="6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view="pageLayout" zoomScaleNormal="100" workbookViewId="0">
      <selection activeCell="A3" sqref="A3:XFD3"/>
    </sheetView>
  </sheetViews>
  <sheetFormatPr defaultRowHeight="15" x14ac:dyDescent="0.25"/>
  <cols>
    <col min="1" max="1" width="6" customWidth="1"/>
    <col min="2" max="2" width="42.28515625" customWidth="1"/>
    <col min="3" max="3" width="21" customWidth="1"/>
    <col min="4" max="4" width="7.85546875" style="9" customWidth="1"/>
    <col min="5" max="5" width="12.7109375" style="9" customWidth="1"/>
    <col min="6" max="6" width="11.28515625" style="9" customWidth="1"/>
    <col min="7" max="7" width="13" style="9" customWidth="1"/>
    <col min="8" max="8" width="12" style="9" customWidth="1"/>
    <col min="9" max="9" width="13.7109375" style="9" customWidth="1"/>
    <col min="10" max="10" width="11.5703125" style="9" customWidth="1"/>
    <col min="11" max="11" width="12.42578125" style="9" customWidth="1"/>
    <col min="12" max="12" width="11.85546875" style="9" customWidth="1"/>
    <col min="13" max="13" width="13" style="9" customWidth="1"/>
    <col min="14" max="14" width="13.28515625" style="9" customWidth="1"/>
    <col min="15" max="15" width="14.85546875" style="9" customWidth="1"/>
    <col min="16" max="16" width="15.42578125" customWidth="1"/>
  </cols>
  <sheetData>
    <row r="1" spans="1:16" ht="63" customHeight="1" x14ac:dyDescent="0.25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6" ht="33.75" customHeight="1" thickBot="1" x14ac:dyDescent="0.3">
      <c r="A2" s="1" t="s">
        <v>7</v>
      </c>
      <c r="C2" s="9" t="s">
        <v>29</v>
      </c>
      <c r="G2" s="42" t="s">
        <v>8</v>
      </c>
      <c r="H2" s="42"/>
      <c r="I2" s="42"/>
      <c r="J2" s="42"/>
      <c r="K2" s="42"/>
      <c r="L2" s="42"/>
      <c r="M2" s="42"/>
      <c r="N2" s="42"/>
    </row>
    <row r="3" spans="1:16" ht="33.75" hidden="1" customHeight="1" thickBot="1" x14ac:dyDescent="0.3">
      <c r="A3" s="1"/>
      <c r="E3" s="9">
        <v>26</v>
      </c>
      <c r="F3" s="9">
        <v>30</v>
      </c>
      <c r="G3" s="10">
        <f>MAX(протокол56д[результат2])</f>
        <v>9</v>
      </c>
      <c r="H3" s="10">
        <v>20</v>
      </c>
      <c r="I3" s="10">
        <f>MIN(протокол56д[результат (сек)5])</f>
        <v>104</v>
      </c>
      <c r="J3" s="10">
        <v>20</v>
      </c>
      <c r="K3" s="25">
        <f>MIN(протокол56д[результат3 (сек)])</f>
        <v>38</v>
      </c>
      <c r="L3" s="26">
        <v>15</v>
      </c>
      <c r="M3" s="10">
        <f>MIN(протокол56д[результат (сек)7])</f>
        <v>88</v>
      </c>
      <c r="N3" s="10">
        <v>15</v>
      </c>
      <c r="O3" s="9">
        <f>MAX(протокол56д[зачетный балл9])</f>
        <v>81.538461538461547</v>
      </c>
    </row>
    <row r="4" spans="1:16" ht="46.5" customHeight="1" thickBot="1" x14ac:dyDescent="0.3">
      <c r="B4" t="s">
        <v>27</v>
      </c>
      <c r="E4" s="39" t="s">
        <v>9</v>
      </c>
      <c r="F4" s="41"/>
      <c r="G4" s="39" t="s">
        <v>24</v>
      </c>
      <c r="H4" s="40"/>
      <c r="I4" s="39" t="s">
        <v>23</v>
      </c>
      <c r="J4" s="40"/>
      <c r="K4" s="43" t="s">
        <v>22</v>
      </c>
      <c r="L4" s="44"/>
      <c r="M4" s="39" t="s">
        <v>13</v>
      </c>
      <c r="N4" s="40"/>
      <c r="O4" s="27" t="s">
        <v>11</v>
      </c>
    </row>
    <row r="5" spans="1:16" ht="63" customHeight="1" x14ac:dyDescent="0.25">
      <c r="A5" s="4" t="s">
        <v>2</v>
      </c>
      <c r="B5" s="3" t="s">
        <v>3</v>
      </c>
      <c r="C5" s="3" t="s">
        <v>0</v>
      </c>
      <c r="D5" s="15" t="s">
        <v>1</v>
      </c>
      <c r="E5" s="11" t="s">
        <v>4</v>
      </c>
      <c r="F5" s="12" t="s">
        <v>5</v>
      </c>
      <c r="G5" s="11" t="s">
        <v>15</v>
      </c>
      <c r="H5" s="12" t="s">
        <v>16</v>
      </c>
      <c r="I5" s="11" t="s">
        <v>17</v>
      </c>
      <c r="J5" s="12" t="s">
        <v>18</v>
      </c>
      <c r="K5" s="11" t="s">
        <v>25</v>
      </c>
      <c r="L5" s="12" t="s">
        <v>26</v>
      </c>
      <c r="M5" s="11" t="s">
        <v>19</v>
      </c>
      <c r="N5" s="12" t="s">
        <v>20</v>
      </c>
      <c r="O5" s="21" t="s">
        <v>21</v>
      </c>
      <c r="P5" s="23" t="s">
        <v>12</v>
      </c>
    </row>
    <row r="6" spans="1:16" ht="31.5" x14ac:dyDescent="0.25">
      <c r="A6" s="2">
        <v>1</v>
      </c>
      <c r="B6" s="7" t="s">
        <v>53</v>
      </c>
      <c r="C6" s="6" t="s">
        <v>52</v>
      </c>
      <c r="D6" s="16">
        <v>6</v>
      </c>
      <c r="E6" s="13">
        <v>10</v>
      </c>
      <c r="F6" s="14">
        <f>IF(OR(ISTEXT(протокол56д[[#This Row],[результат]]),протокол56д[[#This Row],[результат]]=""),"",($F$3*протокол56д[[#This Row],[результат]])/$E$3)</f>
        <v>11.538461538461538</v>
      </c>
      <c r="G6" s="13">
        <v>9</v>
      </c>
      <c r="H6" s="14">
        <f>IF(OR(ISTEXT(протокол56д[[#This Row],[результат2]]),протокол56д[[#This Row],[результат2]]=""),"",($H$3*протокол56д[[#This Row],[результат2]])/$G$3)</f>
        <v>20</v>
      </c>
      <c r="I6" s="18">
        <v>104</v>
      </c>
      <c r="J6" s="19">
        <f>IF(OR(ISTEXT(протокол56д[[#This Row],[результат (сек)5]]),протокол56д[[#This Row],[результат (сек)5]]=""),"",($J$3*$I$3)/протокол56д[[#This Row],[результат (сек)5]])</f>
        <v>20</v>
      </c>
      <c r="K6" s="20">
        <v>38</v>
      </c>
      <c r="L6" s="19">
        <f>IF(OR(ISTEXT(протокол56д[[#This Row],[результат3 (сек)]]),протокол56д[[#This Row],[результат3 (сек)]]=""),"",($L$3*$K$3)/протокол56д[[#This Row],[результат3 (сек)]])</f>
        <v>15</v>
      </c>
      <c r="M6" s="18">
        <v>88</v>
      </c>
      <c r="N6" s="19">
        <f>IF(OR(ISTEXT(протокол56д[[#This Row],[результат (сек)7]]),протокол56д[[#This Row],[результат (сек)7]]=""),"",($N$3*$M$3)/протокол56д[[#This Row],[результат (сек)7]])</f>
        <v>15</v>
      </c>
      <c r="O6" s="22">
        <f>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(сек)7]])=4,0,IF(COUNT(протокол56д[[#This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(сек)7]])&lt;4,"",SUM(протокол56д[[#This Row],[зачетный балл]],протокол56д[[#This Row],[зачетный балл3]],протокол56д[[#This Row],[зачетный балл6]],протокол56д[[#This Row],[зачетный балл72]],протокол56д[[#This Row],[зачетный балл8]])))</f>
        <v>81.538461538461547</v>
      </c>
      <c r="P6" s="24" t="str">
        <f>IF(протокол56д[[#This Row],[зачетный балл9]]="","",IF(протокол56д[[#This Row],[зачетный балл9]]&lt;=50,"Участник",IF(протокол56д[[#This Row],[зачетный балл9]]=$O$3,"Победитель",IF(COUNTIF(протокол56д[зачетный балл9],"&gt;="&amp;"0")/4&gt;=COUNTIF(протокол56д[зачетный балл9],"&gt;="&amp;протокол56д[[#This Row],[зачетный балл9]]),"Призер","Участник"))))</f>
        <v>Победитель</v>
      </c>
    </row>
    <row r="7" spans="1:16" ht="31.5" x14ac:dyDescent="0.25">
      <c r="A7" s="2">
        <v>2</v>
      </c>
      <c r="B7" s="7" t="s">
        <v>55</v>
      </c>
      <c r="C7" s="6" t="s">
        <v>52</v>
      </c>
      <c r="D7" s="17">
        <v>6</v>
      </c>
      <c r="E7" s="13">
        <v>6</v>
      </c>
      <c r="F7" s="14">
        <f>IF(OR(ISTEXT(протокол56д[[#This Row],[результат]]),протокол56д[[#This Row],[результат]]=""),"",($F$3*протокол56д[[#This Row],[результат]])/$E$3)</f>
        <v>6.9230769230769234</v>
      </c>
      <c r="G7" s="13">
        <v>6</v>
      </c>
      <c r="H7" s="14">
        <f>IF(OR(ISTEXT(протокол56д[[#This Row],[результат2]]),протокол56д[[#This Row],[результат2]]=""),"",($H$3*протокол56д[[#This Row],[результат2]])/$G$3)</f>
        <v>13.333333333333334</v>
      </c>
      <c r="I7" s="18">
        <v>159</v>
      </c>
      <c r="J7" s="19">
        <f>IF(OR(ISTEXT(протокол56д[[#This Row],[результат (сек)5]]),протокол56д[[#This Row],[результат (сек)5]]=""),"",($J$3*$I$3)/протокол56д[[#This Row],[результат (сек)5]])</f>
        <v>13.081761006289309</v>
      </c>
      <c r="K7" s="20">
        <v>95</v>
      </c>
      <c r="L7" s="19">
        <f>IF(OR(ISTEXT(протокол56д[[#This Row],[результат3 (сек)]]),протокол56д[[#This Row],[результат3 (сек)]]=""),"",($L$3*$K$3)/протокол56д[[#This Row],[результат3 (сек)]])</f>
        <v>6</v>
      </c>
      <c r="M7" s="18">
        <v>129</v>
      </c>
      <c r="N7" s="19">
        <f>IF(OR(ISTEXT(протокол56д[[#This Row],[результат (сек)7]]),протокол56д[[#This Row],[результат (сек)7]]=""),"",($N$3*$M$3)/протокол56д[[#This Row],[результат (сек)7]])</f>
        <v>10.232558139534884</v>
      </c>
      <c r="O7" s="22">
        <f>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(сек)7]])=4,0,IF(COUNT(протокол56д[[#This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(сек)7]])&lt;4,"",SUM(протокол56д[[#This Row],[зачетный балл]],протокол56д[[#This Row],[зачетный балл3]],протокол56д[[#This Row],[зачетный балл6]],протокол56д[[#This Row],[зачетный балл72]],протокол56д[[#This Row],[зачетный балл8]])))</f>
        <v>49.570729402234448</v>
      </c>
      <c r="P7" s="24" t="str">
        <f>IF(протокол56д[[#This Row],[зачетный балл9]]="","",IF(протокол56д[[#This Row],[зачетный балл9]]&lt;=50,"Участник",IF(протокол56д[[#This Row],[зачетный балл9]]=$O$3,"Победитель",IF(COUNTIF(протокол56д[зачетный балл9],"&gt;="&amp;"0")/4&gt;=COUNTIF(протокол56д[зачетный балл9],"&gt;="&amp;протокол56д[[#This Row],[зачетный балл9]]),"Призер","Участник"))))</f>
        <v>Участник</v>
      </c>
    </row>
    <row r="11" spans="1:16" x14ac:dyDescent="0.25">
      <c r="C11" s="36" t="s">
        <v>57</v>
      </c>
    </row>
    <row r="12" spans="1:16" x14ac:dyDescent="0.25">
      <c r="C12" s="37" t="s">
        <v>58</v>
      </c>
    </row>
  </sheetData>
  <mergeCells count="7">
    <mergeCell ref="A1:O1"/>
    <mergeCell ref="G2:N2"/>
    <mergeCell ref="E4:F4"/>
    <mergeCell ref="G4:H4"/>
    <mergeCell ref="I4:J4"/>
    <mergeCell ref="K4:L4"/>
    <mergeCell ref="M4:N4"/>
  </mergeCells>
  <pageMargins left="0.39285714285714285" right="0.25" top="0.39285714285714285" bottom="0.75" header="0.3" footer="0.3"/>
  <pageSetup paperSize="9" scale="6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view="pageLayout" zoomScaleNormal="100" workbookViewId="0">
      <selection activeCell="A3" sqref="A3:XFD3"/>
    </sheetView>
  </sheetViews>
  <sheetFormatPr defaultRowHeight="15" x14ac:dyDescent="0.25"/>
  <cols>
    <col min="1" max="1" width="6" customWidth="1"/>
    <col min="2" max="2" width="43" customWidth="1"/>
    <col min="3" max="3" width="21" customWidth="1"/>
    <col min="4" max="4" width="7.85546875" style="9" customWidth="1"/>
    <col min="5" max="5" width="12.7109375" style="9" customWidth="1"/>
    <col min="6" max="6" width="11.28515625" style="9" customWidth="1"/>
    <col min="7" max="7" width="13" style="9" customWidth="1"/>
    <col min="8" max="8" width="12" style="9" customWidth="1"/>
    <col min="9" max="9" width="13.7109375" style="9" customWidth="1"/>
    <col min="10" max="10" width="11.42578125" style="9" customWidth="1"/>
    <col min="11" max="11" width="12.42578125" style="9" customWidth="1"/>
    <col min="12" max="12" width="11.42578125" style="9" customWidth="1"/>
    <col min="13" max="13" width="13" style="9" customWidth="1"/>
    <col min="14" max="14" width="13.28515625" style="9" customWidth="1"/>
    <col min="15" max="15" width="14.85546875" style="9" customWidth="1"/>
    <col min="16" max="16" width="16.85546875" customWidth="1"/>
  </cols>
  <sheetData>
    <row r="1" spans="1:16" ht="69.75" customHeight="1" x14ac:dyDescent="0.25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6" ht="33.75" customHeight="1" thickBot="1" x14ac:dyDescent="0.3">
      <c r="A2" s="1" t="s">
        <v>6</v>
      </c>
      <c r="C2" s="9" t="s">
        <v>10</v>
      </c>
      <c r="G2" s="42" t="s">
        <v>8</v>
      </c>
      <c r="H2" s="42"/>
      <c r="I2" s="42"/>
      <c r="J2" s="42"/>
      <c r="K2" s="42"/>
      <c r="L2" s="42"/>
      <c r="M2" s="42"/>
      <c r="N2" s="42"/>
    </row>
    <row r="3" spans="1:16" ht="33.75" hidden="1" customHeight="1" thickBot="1" x14ac:dyDescent="0.3">
      <c r="A3" s="1"/>
      <c r="E3" s="9">
        <v>40</v>
      </c>
      <c r="F3" s="9">
        <v>30</v>
      </c>
      <c r="G3" s="10">
        <f>MAX(протокол78ю[результат2])</f>
        <v>4.5</v>
      </c>
      <c r="H3" s="10">
        <v>20</v>
      </c>
      <c r="I3" s="10">
        <f>MIN(протокол78ю[результат (сек)5])</f>
        <v>245</v>
      </c>
      <c r="J3" s="10">
        <v>20</v>
      </c>
      <c r="K3" s="25">
        <f>MIN(протокол78ю[результат3 (сек)])</f>
        <v>240</v>
      </c>
      <c r="L3" s="26">
        <v>15</v>
      </c>
      <c r="M3" s="10">
        <f>MIN(протокол78ю[результат (сек)7])</f>
        <v>133</v>
      </c>
      <c r="N3" s="10">
        <v>15</v>
      </c>
      <c r="O3" s="9">
        <f>MAX(протокол78ю[зачетный балл9])</f>
        <v>79.75</v>
      </c>
    </row>
    <row r="4" spans="1:16" ht="46.5" customHeight="1" thickBot="1" x14ac:dyDescent="0.3">
      <c r="B4" t="s">
        <v>27</v>
      </c>
      <c r="E4" s="39" t="s">
        <v>9</v>
      </c>
      <c r="F4" s="41"/>
      <c r="G4" s="39" t="s">
        <v>24</v>
      </c>
      <c r="H4" s="40"/>
      <c r="I4" s="39" t="s">
        <v>23</v>
      </c>
      <c r="J4" s="40"/>
      <c r="K4" s="43" t="s">
        <v>22</v>
      </c>
      <c r="L4" s="44"/>
      <c r="M4" s="39" t="s">
        <v>13</v>
      </c>
      <c r="N4" s="40"/>
      <c r="O4" s="27" t="s">
        <v>11</v>
      </c>
    </row>
    <row r="5" spans="1:16" ht="63" customHeight="1" x14ac:dyDescent="0.25">
      <c r="A5" s="4" t="s">
        <v>2</v>
      </c>
      <c r="B5" s="3" t="s">
        <v>3</v>
      </c>
      <c r="C5" s="3" t="s">
        <v>0</v>
      </c>
      <c r="D5" s="15" t="s">
        <v>1</v>
      </c>
      <c r="E5" s="11" t="s">
        <v>4</v>
      </c>
      <c r="F5" s="12" t="s">
        <v>5</v>
      </c>
      <c r="G5" s="11" t="s">
        <v>15</v>
      </c>
      <c r="H5" s="12" t="s">
        <v>16</v>
      </c>
      <c r="I5" s="11" t="s">
        <v>17</v>
      </c>
      <c r="J5" s="12" t="s">
        <v>18</v>
      </c>
      <c r="K5" s="11" t="s">
        <v>25</v>
      </c>
      <c r="L5" s="12" t="s">
        <v>26</v>
      </c>
      <c r="M5" s="11" t="s">
        <v>19</v>
      </c>
      <c r="N5" s="12" t="s">
        <v>20</v>
      </c>
      <c r="O5" s="21" t="s">
        <v>21</v>
      </c>
      <c r="P5" s="23" t="s">
        <v>12</v>
      </c>
    </row>
    <row r="6" spans="1:16" ht="31.5" x14ac:dyDescent="0.25">
      <c r="A6" s="2">
        <v>1</v>
      </c>
      <c r="B6" s="7" t="s">
        <v>56</v>
      </c>
      <c r="C6" s="6" t="s">
        <v>52</v>
      </c>
      <c r="D6" s="16">
        <v>7</v>
      </c>
      <c r="E6" s="13">
        <v>13</v>
      </c>
      <c r="F6" s="14">
        <f>IF(OR(ISTEXT(протокол78ю[[#This Row],[результат]]),протокол78ю[[#This Row],[результат]]=""),"",($F$3*протокол78ю[[#This Row],[результат]])/$E$3)</f>
        <v>9.75</v>
      </c>
      <c r="G6" s="13">
        <v>4.5</v>
      </c>
      <c r="H6" s="14">
        <f>IF(OR(ISTEXT(протокол78ю[[#This Row],[результат2]]),протокол78ю[[#This Row],[результат2]]=""),"",($H$3*протокол78ю[[#This Row],[результат2]])/$G$3)</f>
        <v>20</v>
      </c>
      <c r="I6" s="18">
        <v>245</v>
      </c>
      <c r="J6" s="19">
        <f>IF(OR(ISTEXT(протокол78ю[[#This Row],[результат (сек)5]]),протокол78ю[[#This Row],[результат (сек)5]]=""),"",($J$3*$I$3)/протокол78ю[[#This Row],[результат (сек)5]])</f>
        <v>20</v>
      </c>
      <c r="K6" s="20">
        <v>240</v>
      </c>
      <c r="L6" s="19">
        <f>IF(OR(ISTEXT(протокол78ю[[#This Row],[результат3 (сек)]]),протокол78ю[[#This Row],[результат3 (сек)]]=""),"",($L$3*$K$3)/протокол78ю[[#This Row],[результат3 (сек)]])</f>
        <v>15</v>
      </c>
      <c r="M6" s="18">
        <v>133</v>
      </c>
      <c r="N6" s="19">
        <f>IF(OR(ISTEXT(протокол78ю[[#This Row],[результат (сек)7]]),протокол78ю[[#This Row],[результат (сек)7]]=""),"",($N$3*$M$3)/протокол78ю[[#This Row],[результат (сек)7]])</f>
        <v>15</v>
      </c>
      <c r="O6" s="22">
        <f>IF(COUNT(протокол78ю[[#This Row],[результат]],протокол78ю[[#This Row],[результат2]],протокол78ю[[#This Row],[результат (сек)5]],протокол78ю[[#This Row],[результат3 (сек)]],протокол78ю[[#This Row],[результат (сек)7]])=4,0,IF(COUNT(протокол78ю[[#This Row],[результат]],протокол78ю[[#This Row],[результат2]],протокол78ю[[#This Row],[результат (сек)5]],протокол78ю[[#This Row],[результат3 (сек)]],протокол78ю[[#This Row],[результат (сек)7]])&lt;4,"",SUM(протокол78ю[[#This Row],[зачетный балл]],протокол78ю[[#This Row],[зачетный балл3]],протокол78ю[[#This Row],[зачетный балл6]],протокол78ю[[#This Row],[зачетный балл72]],протокол78ю[[#This Row],[зачетный балл8]])))</f>
        <v>79.75</v>
      </c>
      <c r="P6" s="24" t="str">
        <f>IF(протокол78ю[[#This Row],[зачетный балл9]]="","",IF(протокол78ю[[#This Row],[зачетный балл9]]&lt;=50,"Участник",IF(протокол78ю[[#This Row],[зачетный балл9]]=$O$3,"Победитель",IF(COUNTIF(протокол78ю[зачетный балл9],"&gt;="&amp;"0")/4&gt;=COUNTIF(протокол78ю[зачетный балл9],"&gt;="&amp;протокол78ю[[#This Row],[зачетный балл9]]),"Призер","Участник"))))</f>
        <v>Победитель</v>
      </c>
    </row>
    <row r="10" spans="1:16" x14ac:dyDescent="0.25">
      <c r="C10" s="36" t="s">
        <v>57</v>
      </c>
    </row>
    <row r="11" spans="1:16" x14ac:dyDescent="0.25">
      <c r="C11" s="37" t="s">
        <v>58</v>
      </c>
    </row>
  </sheetData>
  <mergeCells count="7">
    <mergeCell ref="A1:O1"/>
    <mergeCell ref="G2:N2"/>
    <mergeCell ref="E4:F4"/>
    <mergeCell ref="G4:H4"/>
    <mergeCell ref="I4:J4"/>
    <mergeCell ref="K4:L4"/>
    <mergeCell ref="M4:N4"/>
  </mergeCells>
  <pageMargins left="0.4375" right="0.18958333333333333" top="0.39285714285714285" bottom="0.75" header="0.3" footer="0.3"/>
  <pageSetup paperSize="9" scale="6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view="pageLayout" zoomScaleNormal="85" workbookViewId="0">
      <selection activeCell="A3" sqref="A3:XFD3"/>
    </sheetView>
  </sheetViews>
  <sheetFormatPr defaultRowHeight="15" x14ac:dyDescent="0.25"/>
  <cols>
    <col min="1" max="1" width="6" customWidth="1"/>
    <col min="2" max="2" width="42" customWidth="1"/>
    <col min="3" max="3" width="20.140625" customWidth="1"/>
    <col min="4" max="4" width="7.85546875" style="9" customWidth="1"/>
    <col min="5" max="5" width="12.7109375" style="9" customWidth="1"/>
    <col min="6" max="6" width="11.28515625" style="9" customWidth="1"/>
    <col min="7" max="7" width="13" style="9" customWidth="1"/>
    <col min="8" max="8" width="12" style="9" customWidth="1"/>
    <col min="9" max="9" width="13.7109375" style="9" customWidth="1"/>
    <col min="10" max="10" width="11.5703125" style="9" customWidth="1"/>
    <col min="11" max="11" width="12.42578125" style="9" customWidth="1"/>
    <col min="12" max="12" width="11.85546875" style="9" customWidth="1"/>
    <col min="13" max="13" width="13" style="9" customWidth="1"/>
    <col min="14" max="14" width="13.28515625" style="9" customWidth="1"/>
    <col min="15" max="15" width="14.85546875" style="9" customWidth="1"/>
    <col min="16" max="16" width="19.42578125" customWidth="1"/>
  </cols>
  <sheetData>
    <row r="1" spans="1:16" ht="70.5" customHeight="1" x14ac:dyDescent="0.25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6" ht="33.75" customHeight="1" thickBot="1" x14ac:dyDescent="0.3">
      <c r="A2" s="1" t="s">
        <v>6</v>
      </c>
      <c r="C2" s="9" t="s">
        <v>14</v>
      </c>
      <c r="G2" s="45" t="s">
        <v>8</v>
      </c>
      <c r="H2" s="46"/>
      <c r="I2" s="46"/>
      <c r="J2" s="46"/>
      <c r="K2" s="46"/>
      <c r="L2" s="46"/>
      <c r="M2" s="46"/>
      <c r="N2" s="47"/>
    </row>
    <row r="3" spans="1:16" ht="33.75" hidden="1" customHeight="1" thickBot="1" x14ac:dyDescent="0.3">
      <c r="A3" s="1"/>
      <c r="E3" s="9">
        <v>40</v>
      </c>
      <c r="F3" s="9">
        <v>30</v>
      </c>
      <c r="G3" s="10">
        <f>MAX(протокол78д[результат2])</f>
        <v>5.5</v>
      </c>
      <c r="H3" s="10">
        <v>20</v>
      </c>
      <c r="I3" s="10">
        <f>MIN(протокол78д[результат (сек)5])</f>
        <v>260</v>
      </c>
      <c r="J3" s="10">
        <v>20</v>
      </c>
      <c r="K3" s="25">
        <f>MIN(протокол78д[результат3 (сек)])</f>
        <v>240</v>
      </c>
      <c r="L3" s="26">
        <v>15</v>
      </c>
      <c r="M3" s="10">
        <f>MIN(протокол78д[результат (сек)7])</f>
        <v>95</v>
      </c>
      <c r="N3" s="10">
        <v>15</v>
      </c>
      <c r="O3" s="9">
        <f>MAX(протокол78д[зачетный балл9])</f>
        <v>85</v>
      </c>
    </row>
    <row r="4" spans="1:16" ht="46.5" customHeight="1" thickBot="1" x14ac:dyDescent="0.3">
      <c r="B4" t="s">
        <v>27</v>
      </c>
      <c r="E4" s="48" t="s">
        <v>9</v>
      </c>
      <c r="F4" s="49"/>
      <c r="G4" s="48" t="s">
        <v>24</v>
      </c>
      <c r="H4" s="49"/>
      <c r="I4" s="48" t="s">
        <v>23</v>
      </c>
      <c r="J4" s="49"/>
      <c r="K4" s="43" t="s">
        <v>22</v>
      </c>
      <c r="L4" s="50"/>
      <c r="M4" s="48" t="s">
        <v>13</v>
      </c>
      <c r="N4" s="49"/>
      <c r="O4" s="27" t="s">
        <v>11</v>
      </c>
    </row>
    <row r="5" spans="1:16" ht="63" customHeight="1" x14ac:dyDescent="0.25">
      <c r="A5" s="4" t="s">
        <v>2</v>
      </c>
      <c r="B5" s="3" t="s">
        <v>3</v>
      </c>
      <c r="C5" s="3" t="s">
        <v>0</v>
      </c>
      <c r="D5" s="15" t="s">
        <v>1</v>
      </c>
      <c r="E5" s="11" t="s">
        <v>4</v>
      </c>
      <c r="F5" s="12" t="s">
        <v>5</v>
      </c>
      <c r="G5" s="11" t="s">
        <v>15</v>
      </c>
      <c r="H5" s="12" t="s">
        <v>16</v>
      </c>
      <c r="I5" s="11" t="s">
        <v>17</v>
      </c>
      <c r="J5" s="12" t="s">
        <v>18</v>
      </c>
      <c r="K5" s="11" t="s">
        <v>25</v>
      </c>
      <c r="L5" s="12" t="s">
        <v>26</v>
      </c>
      <c r="M5" s="11" t="s">
        <v>19</v>
      </c>
      <c r="N5" s="12" t="s">
        <v>20</v>
      </c>
      <c r="O5" s="21" t="s">
        <v>21</v>
      </c>
      <c r="P5" s="23" t="s">
        <v>12</v>
      </c>
    </row>
    <row r="6" spans="1:16" ht="31.5" x14ac:dyDescent="0.25">
      <c r="A6" s="2">
        <v>1</v>
      </c>
      <c r="B6" s="7" t="s">
        <v>54</v>
      </c>
      <c r="C6" s="6" t="s">
        <v>52</v>
      </c>
      <c r="D6" s="16">
        <v>7</v>
      </c>
      <c r="E6" s="13">
        <v>20</v>
      </c>
      <c r="F6" s="14">
        <f>IF(OR(ISTEXT(протокол78д[[#This Row],[результат]]),протокол78д[[#This Row],[результат]]=""),"",($F$3*протокол78д[[#This Row],[результат]])/$E$3)</f>
        <v>15</v>
      </c>
      <c r="G6" s="13">
        <v>5.5</v>
      </c>
      <c r="H6" s="14">
        <f>IF(OR(ISTEXT(протокол78д[[#This Row],[результат2]]),протокол78д[[#This Row],[результат2]]=""),"",($H$3*протокол78д[[#This Row],[результат2]])/$G$3)</f>
        <v>20</v>
      </c>
      <c r="I6" s="18">
        <v>260</v>
      </c>
      <c r="J6" s="19">
        <f>IF(OR(ISTEXT(протокол78д[[#This Row],[результат (сек)5]]),протокол78д[[#This Row],[результат (сек)5]]=""),"",($J$3*$I$3)/протокол78д[[#This Row],[результат (сек)5]])</f>
        <v>20</v>
      </c>
      <c r="K6" s="20">
        <v>240</v>
      </c>
      <c r="L6" s="19">
        <f>IF(OR(ISTEXT(протокол78д[[#This Row],[результат3 (сек)]]),протокол78д[[#This Row],[результат3 (сек)]]=""),"",($L$3*$K$3)/протокол78д[[#This Row],[результат3 (сек)]])</f>
        <v>15</v>
      </c>
      <c r="M6" s="18">
        <v>95</v>
      </c>
      <c r="N6" s="19">
        <f>IF(OR(ISTEXT(протокол78д[[#This Row],[результат (сек)7]]),протокол78д[[#This Row],[результат (сек)7]]=""),"",($N$3*$M$3)/протокол78д[[#This Row],[результат (сек)7]])</f>
        <v>15</v>
      </c>
      <c r="O6" s="22">
        <f>IF(COUNT(протокол78д[[#This Row],[результат]],протокол78д[[#This Row],[результат2]],протокол78д[[#This Row],[результат (сек)5]],протокол78д[[#This Row],[результат3 (сек)]],протокол78д[[#This Row],[результат (сек)7]])=4,0,IF(COUNT(протокол78д[[#This Row],[результат]],протокол78д[[#This Row],[результат2]],протокол78д[[#This Row],[результат (сек)5]],протокол78д[[#This Row],[результат3 (сек)]],протокол78д[[#This Row],[результат (сек)7]])&lt;4,"",SUM(протокол78д[[#This Row],[зачетный балл]],протокол78д[[#This Row],[зачетный балл3]],протокол78д[[#This Row],[зачетный балл6]],протокол78д[[#This Row],[зачетный балл72]],протокол78д[[#This Row],[зачетный балл8]])))</f>
        <v>85</v>
      </c>
      <c r="P6" s="24" t="str">
        <f>IF(протокол78д[[#This Row],[зачетный балл9]]="","",IF(протокол78д[[#This Row],[зачетный балл9]]&lt;=50,"Участник",IF(протокол78д[[#This Row],[зачетный балл9]]=$O$3,"Победитель",IF(COUNTIF(протокол78д[зачетный балл9],"&gt;="&amp;"0")/4&gt;=COUNTIF(протокол78д[зачетный балл9],"&gt;="&amp;протокол78д[[#This Row],[зачетный балл9]]),"Призер","Участник"))))</f>
        <v>Победитель</v>
      </c>
    </row>
    <row r="10" spans="1:16" x14ac:dyDescent="0.25">
      <c r="C10" s="36" t="s">
        <v>57</v>
      </c>
    </row>
    <row r="11" spans="1:16" x14ac:dyDescent="0.25">
      <c r="C11" s="37" t="s">
        <v>58</v>
      </c>
    </row>
  </sheetData>
  <mergeCells count="7">
    <mergeCell ref="A1:O1"/>
    <mergeCell ref="G2:N2"/>
    <mergeCell ref="E4:F4"/>
    <mergeCell ref="G4:H4"/>
    <mergeCell ref="I4:J4"/>
    <mergeCell ref="K4:L4"/>
    <mergeCell ref="M4:N4"/>
  </mergeCells>
  <pageMargins left="0.17234848484848486" right="0.3125" top="0.48214285714285715" bottom="0.75" header="0.3" footer="0.3"/>
  <pageSetup paperSize="9" scale="6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!!!!Инструкция!!!!</vt:lpstr>
      <vt:lpstr>юноши 5-6</vt:lpstr>
      <vt:lpstr>девушки 5-6</vt:lpstr>
      <vt:lpstr>юноши-7-8</vt:lpstr>
      <vt:lpstr>девушки 7-8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2020-10-01T23:58:43Z</dcterms:modified>
</cp:coreProperties>
</file>